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Scenarios" sheetId="2" state="visible" r:id="rId2"/>
    <sheet xmlns:r="http://schemas.openxmlformats.org/officeDocument/2006/relationships" name="Sources &amp; No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"/>
    <numFmt numFmtId="165" formatCode="0.0"/>
    <numFmt numFmtId="166" formatCode="$#,##0.0"/>
    <numFmt numFmtId="167" formatCode="0.0&quot;×&quot;"/>
  </numFmts>
  <fonts count="9">
    <font>
      <name val="Calibri"/>
      <family val="2"/>
      <color theme="1"/>
      <sz val="11"/>
      <scheme val="minor"/>
    </font>
    <font>
      <b val="1"/>
      <color rgb="FF1F2E3E"/>
      <sz val="14"/>
    </font>
    <font>
      <color rgb="FF475569"/>
      <sz val="9"/>
    </font>
    <font>
      <b val="1"/>
      <color rgb="FFFFFFFF"/>
      <sz val="11"/>
    </font>
    <font>
      <color rgb="FF475569"/>
      <sz val="8"/>
    </font>
    <font>
      <b val="1"/>
      <color rgb="FF1F2E3E"/>
    </font>
    <font>
      <i val="1"/>
      <color rgb="FF475569"/>
      <sz val="9"/>
    </font>
    <font>
      <b val="1"/>
      <color rgb="FF1F2E3E"/>
      <sz val="13"/>
    </font>
    <font>
      <color rgb="FF23323F"/>
      <sz val="9.5"/>
    </font>
  </fonts>
  <fills count="4">
    <fill>
      <patternFill/>
    </fill>
    <fill>
      <patternFill patternType="gray125"/>
    </fill>
    <fill>
      <patternFill patternType="solid">
        <fgColor rgb="FF1F2E3E"/>
      </patternFill>
    </fill>
    <fill>
      <patternFill patternType="solid">
        <fgColor rgb="FFF5F7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wrapText="1"/>
    </xf>
    <xf numFmtId="0" fontId="3" fillId="2" borderId="0" pivotButton="0" quotePrefix="0" xfId="0"/>
    <xf numFmtId="0" fontId="0" fillId="2" borderId="0" pivotButton="0" quotePrefix="0" xfId="0"/>
    <xf numFmtId="164" fontId="0" fillId="3" borderId="0" pivotButton="0" quotePrefix="0" xfId="0"/>
    <xf numFmtId="164" fontId="0" fillId="0" borderId="0" pivotButton="0" quotePrefix="0" xfId="0"/>
    <xf numFmtId="1" fontId="0" fillId="3" borderId="0" pivotButton="0" quotePrefix="0" xfId="0"/>
    <xf numFmtId="0" fontId="4" fillId="0" borderId="0" applyAlignment="1" pivotButton="0" quotePrefix="0" xfId="0">
      <alignment wrapText="1"/>
    </xf>
    <xf numFmtId="165" fontId="0" fillId="3" borderId="0" pivotButton="0" quotePrefix="0" xfId="0"/>
    <xf numFmtId="0" fontId="0" fillId="3" borderId="0" pivotButton="0" quotePrefix="0" xfId="0"/>
    <xf numFmtId="3" fontId="0" fillId="0" borderId="0" pivotButton="0" quotePrefix="0" xfId="0"/>
    <xf numFmtId="166" fontId="0" fillId="0" borderId="0" pivotButton="0" quotePrefix="0" xfId="0"/>
    <xf numFmtId="165" fontId="0" fillId="0" borderId="0" pivotButton="0" quotePrefix="0" xfId="0"/>
    <xf numFmtId="9" fontId="5" fillId="0" borderId="0" pivotButton="0" quotePrefix="0" xfId="0"/>
    <xf numFmtId="165" fontId="5" fillId="0" borderId="0" pivotButton="0" quotePrefix="0" xfId="0"/>
    <xf numFmtId="9" fontId="0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0" borderId="0" pivotButton="0" quotePrefix="0" xfId="0"/>
    <xf numFmtId="0" fontId="2" fillId="0" borderId="0" pivotButton="0" quotePrefix="0" xfId="0"/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167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H6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6" customWidth="1" min="2" max="2"/>
    <col width="16" customWidth="1" min="3" max="3"/>
    <col width="2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B1" s="1" t="inlineStr">
        <is>
          <t>CloudLink ROI Calculator — Excel model</t>
        </is>
      </c>
    </row>
    <row r="2" ht="28" customHeight="1">
      <c r="B2" s="2" t="inlineStr">
        <is>
          <t>All outputs are Modeled (conservative, cited assumptions). ROI counts efficiency value only; growth/capacity are separate upside. Parity with the web calculator: identical formulas.</t>
        </is>
      </c>
    </row>
    <row r="4">
      <c r="B4" s="3" t="inlineStr">
        <is>
          <t>INPUTS</t>
        </is>
      </c>
      <c r="C4" s="4" t="n"/>
      <c r="E4" s="3" t="inlineStr">
        <is>
          <t>Rate card (list)</t>
        </is>
      </c>
      <c r="F4" s="3" t="inlineStr">
        <is>
          <t>Build</t>
        </is>
      </c>
      <c r="G4" s="3" t="inlineStr">
        <is>
          <t>Sub base</t>
        </is>
      </c>
      <c r="H4" s="3" t="inlineStr">
        <is>
          <t>Reclaim %</t>
        </is>
      </c>
    </row>
    <row r="5">
      <c r="B5" t="inlineStr">
        <is>
          <t>Assets under management ($)</t>
        </is>
      </c>
      <c r="C5" s="5" t="n">
        <v>750000000</v>
      </c>
      <c r="E5" t="inlineStr">
        <is>
          <t>Standard</t>
        </is>
      </c>
      <c r="F5" s="6" t="n">
        <v>90000</v>
      </c>
      <c r="G5" s="6" t="n">
        <v>48000</v>
      </c>
      <c r="H5" t="n">
        <v>30</v>
      </c>
    </row>
    <row r="6">
      <c r="B6" t="inlineStr">
        <is>
          <t>Blended fee yield (bps)</t>
        </is>
      </c>
      <c r="C6" s="7" t="n">
        <v>80</v>
      </c>
      <c r="E6" t="inlineStr">
        <is>
          <t>Extended</t>
        </is>
      </c>
      <c r="F6" s="6" t="n">
        <v>150000</v>
      </c>
      <c r="G6" s="6" t="n">
        <v>72000</v>
      </c>
      <c r="H6" t="n">
        <v>35</v>
      </c>
    </row>
    <row r="7">
      <c r="B7" t="inlineStr">
        <is>
          <t>Number of advisors</t>
        </is>
      </c>
      <c r="C7" s="7" t="n">
        <v>6</v>
      </c>
      <c r="E7" t="inlineStr">
        <is>
          <t>Enterprise</t>
        </is>
      </c>
      <c r="F7" s="6" t="n">
        <v>250000</v>
      </c>
      <c r="G7" s="6" t="n">
        <v>108000</v>
      </c>
      <c r="H7" t="n">
        <v>40</v>
      </c>
    </row>
    <row r="8">
      <c r="B8" t="inlineStr">
        <is>
          <t>Support staff (CSA/ops/paraplanner)</t>
        </is>
      </c>
      <c r="C8" s="7" t="n">
        <v>8</v>
      </c>
    </row>
    <row r="9">
      <c r="B9" t="inlineStr">
        <is>
          <t>Avg advisor cost, fully-loaded ($/yr)</t>
        </is>
      </c>
      <c r="C9" s="5" t="n">
        <v>250000</v>
      </c>
      <c r="E9" s="8" t="inlineStr">
        <is>
          <t>Founding partner: build 45% off list; Year-1 subscription 50% off list; earns up to list by Year 3 (satisfaction-gated). First 5 firms.</t>
        </is>
      </c>
    </row>
    <row r="10">
      <c r="B10" t="inlineStr">
        <is>
          <t>Avg support-staff cost, fully-loaded ($/yr)</t>
        </is>
      </c>
      <c r="C10" s="5" t="n">
        <v>70000</v>
      </c>
    </row>
    <row r="11">
      <c r="B11" t="inlineStr">
        <is>
          <t>Work-week (hours)</t>
        </is>
      </c>
      <c r="C11" s="7" t="n">
        <v>46</v>
      </c>
    </row>
    <row r="12">
      <c r="B12" t="inlineStr">
        <is>
          <t>Working weeks / year</t>
        </is>
      </c>
      <c r="C12" s="7" t="n">
        <v>47</v>
      </c>
    </row>
    <row r="13">
      <c r="B13" t="inlineStr">
        <is>
          <t>Advisor time on admin (%)</t>
        </is>
      </c>
      <c r="C13" s="7" t="n">
        <v>35</v>
      </c>
    </row>
    <row r="14">
      <c r="B14" t="inlineStr">
        <is>
          <t>Support time on automatable admin (%)</t>
        </is>
      </c>
      <c r="C14" s="7" t="n">
        <v>45</v>
      </c>
    </row>
    <row r="15">
      <c r="B15" t="inlineStr">
        <is>
          <t>Reclaimable fraction (%) — tier-linked</t>
        </is>
      </c>
      <c r="C15" s="7">
        <f>VLOOKUP($C$17,$E$5:$H$7,4,FALSE)</f>
        <v/>
      </c>
    </row>
    <row r="16">
      <c r="B16" t="inlineStr">
        <is>
          <t>Organic-growth uplift (pp) — upside lens</t>
        </is>
      </c>
      <c r="C16" s="9" t="n">
        <v>1</v>
      </c>
    </row>
    <row r="17">
      <c r="B17" t="inlineStr">
        <is>
          <t>Buildout tier</t>
        </is>
      </c>
      <c r="C17" s="10" t="inlineStr">
        <is>
          <t>Standard</t>
        </is>
      </c>
    </row>
    <row r="18">
      <c r="B18" t="inlineStr">
        <is>
          <t>Pricing scenario</t>
        </is>
      </c>
      <c r="C18" s="10" t="inlineStr">
        <is>
          <t>Founding partner</t>
        </is>
      </c>
    </row>
    <row r="19">
      <c r="B19" t="inlineStr">
        <is>
          <t>One-time conversion build ($)</t>
        </is>
      </c>
      <c r="C19" s="5">
        <f>ROUND(VLOOKUP($C$17,$E$5:$H$7,2,FALSE)*IF($C$18="Founding partner",0.55,1),0)</f>
        <v/>
      </c>
    </row>
    <row r="20">
      <c r="B20" t="inlineStr">
        <is>
          <t>Platform subscription — Year 1 ($)</t>
        </is>
      </c>
      <c r="C20" s="5">
        <f>ROUND($C$21*IF($C$18="Founding partner",0.5,1),0)</f>
        <v/>
      </c>
    </row>
    <row r="21">
      <c r="B21" t="inlineStr">
        <is>
          <t>Platform subscription — steady-state list ($/yr)</t>
        </is>
      </c>
      <c r="C21" s="5">
        <f>VLOOKUP($C$17,$E$5:$H$7,3,FALSE)+2400*$C$7</f>
        <v/>
      </c>
    </row>
    <row r="22">
      <c r="B22" t="inlineStr">
        <is>
          <t>Year-1 benefit realization (%)</t>
        </is>
      </c>
      <c r="C22" s="7" t="n">
        <v>50</v>
      </c>
    </row>
    <row r="23">
      <c r="B23" t="inlineStr">
        <is>
          <t>Your team's time during conversion (hrs)</t>
        </is>
      </c>
      <c r="C23" s="7" t="n">
        <v>60</v>
      </c>
    </row>
    <row r="24">
      <c r="B24" t="inlineStr">
        <is>
          <t>Avg AUM per household ($)</t>
        </is>
      </c>
      <c r="C24" s="5" t="n">
        <v>1500000</v>
      </c>
    </row>
    <row r="25">
      <c r="B25" t="inlineStr">
        <is>
          <t>Advisor hours per household / yr</t>
        </is>
      </c>
      <c r="C25" s="7" t="n">
        <v>27</v>
      </c>
    </row>
    <row r="27">
      <c r="B27" s="3" t="inlineStr">
        <is>
          <t>DERIVED</t>
        </is>
      </c>
      <c r="C27" s="4" t="n"/>
    </row>
    <row r="28">
      <c r="B28" t="inlineStr">
        <is>
          <t>Hours per FTE / year</t>
        </is>
      </c>
      <c r="C28" s="11">
        <f>C11*C12</f>
        <v/>
      </c>
    </row>
    <row r="29">
      <c r="B29" t="inlineStr">
        <is>
          <t>Advisor loaded rate ($/hr)</t>
        </is>
      </c>
      <c r="C29" s="12">
        <f>C9/C28</f>
        <v/>
      </c>
    </row>
    <row r="30">
      <c r="B30" t="inlineStr">
        <is>
          <t>Support loaded rate ($/hr)</t>
        </is>
      </c>
      <c r="C30" s="12">
        <f>C10/C28</f>
        <v/>
      </c>
    </row>
    <row r="31">
      <c r="B31" t="inlineStr">
        <is>
          <t>Blended loaded rate ($/hr)</t>
        </is>
      </c>
      <c r="C31" s="12">
        <f>(C7*C9+C8*C10)/((C7+C8)*C28)</f>
        <v/>
      </c>
    </row>
    <row r="33">
      <c r="B33" s="3" t="inlineStr">
        <is>
          <t>RESULTS — steady-state (efficiency value vs. LIST subscription)</t>
        </is>
      </c>
      <c r="C33" s="4" t="n"/>
    </row>
    <row r="34">
      <c r="B34" t="inlineStr">
        <is>
          <t>Hours reclaimed — advisors</t>
        </is>
      </c>
      <c r="C34" s="11">
        <f>C7*(C28*(C13/100)*(C15/100))</f>
        <v/>
      </c>
    </row>
    <row r="35">
      <c r="B35" t="inlineStr">
        <is>
          <t>Hours reclaimed — support</t>
        </is>
      </c>
      <c r="C35" s="11">
        <f>C8*(C28*(C14/100)*(C15/100))</f>
        <v/>
      </c>
    </row>
    <row r="36">
      <c r="B36" t="inlineStr">
        <is>
          <t>Total hours / year</t>
        </is>
      </c>
      <c r="C36" s="11">
        <f>C34+C35</f>
        <v/>
      </c>
    </row>
    <row r="37">
      <c r="B37" t="inlineStr">
        <is>
          <t>≈ FTE freed</t>
        </is>
      </c>
      <c r="C37" s="13">
        <f>C36/C28</f>
        <v/>
      </c>
    </row>
    <row r="38">
      <c r="B38" t="inlineStr">
        <is>
          <t>Efficiency value ($/yr) — the ONLY number in the ROI</t>
        </is>
      </c>
      <c r="C38" s="6">
        <f>C34*C29+C35*C30</f>
        <v/>
      </c>
    </row>
    <row r="39">
      <c r="B39" t="inlineStr">
        <is>
          <t>Net of list subscription ($/yr)</t>
        </is>
      </c>
      <c r="C39" s="6">
        <f>C38-C21</f>
        <v/>
      </c>
    </row>
    <row r="40">
      <c r="B40" t="inlineStr">
        <is>
          <t>Steady-state ROI</t>
        </is>
      </c>
      <c r="C40" s="14">
        <f>IF(C21&gt;0,C39/C21,"n/a")</f>
        <v/>
      </c>
    </row>
    <row r="41">
      <c r="B41" t="inlineStr">
        <is>
          <t>Steady-state payback (months)</t>
        </is>
      </c>
      <c r="C41" s="15">
        <f>IF(C38&gt;0,C21/(C38/12),"n/a")</f>
        <v/>
      </c>
    </row>
    <row r="43">
      <c r="B43" s="3" t="inlineStr">
        <is>
          <t>RESULTS — Year 1 all-in (build + Year-1 platform + your team's time, ramped benefit)</t>
        </is>
      </c>
      <c r="C43" s="4" t="n"/>
    </row>
    <row r="44">
      <c r="B44" t="inlineStr">
        <is>
          <t>Your team's conversion time ($)</t>
        </is>
      </c>
      <c r="C44" s="6">
        <f>C23*C31</f>
        <v/>
      </c>
    </row>
    <row r="45">
      <c r="B45" t="inlineStr">
        <is>
          <t>Year-1 investment ($)</t>
        </is>
      </c>
      <c r="C45" s="6">
        <f>C19+C20+C44</f>
        <v/>
      </c>
    </row>
    <row r="46">
      <c r="B46" t="inlineStr">
        <is>
          <t>Year-1 realized benefit ($)</t>
        </is>
      </c>
      <c r="C46" s="6">
        <f>C38*(C22/100)</f>
        <v/>
      </c>
    </row>
    <row r="47">
      <c r="B47" t="inlineStr">
        <is>
          <t>Year-1 net ($)</t>
        </is>
      </c>
      <c r="C47" s="6">
        <f>C46-C45</f>
        <v/>
      </c>
    </row>
    <row r="48">
      <c r="B48" t="inlineStr">
        <is>
          <t>Breakeven (month)</t>
        </is>
      </c>
      <c r="C48" s="15">
        <f>IF(C46&lt;=0,"n/a",IF(C46&gt;=C45,12*C45/C46,IF(C38&gt;C21,12+(C45-C46)/((C38-C21)/12),"n/a")))</f>
        <v/>
      </c>
    </row>
    <row r="50">
      <c r="B50" s="3" t="inlineStr">
        <is>
          <t>UPSIDE LENSES — shown separately, never added to the ROI above</t>
        </is>
      </c>
      <c r="C50" s="4" t="n"/>
    </row>
    <row r="51">
      <c r="B51" t="inlineStr">
        <is>
          <t>Illustrative growth upside ($/yr)</t>
        </is>
      </c>
      <c r="C51" s="6">
        <f>C5*(C16/100)*(C6/10000)</f>
        <v/>
      </c>
    </row>
    <row r="52">
      <c r="B52" t="inlineStr">
        <is>
          <t>Households served today</t>
        </is>
      </c>
      <c r="C52" s="11">
        <f>C5/C24</f>
        <v/>
      </c>
    </row>
    <row r="53">
      <c r="B53" t="inlineStr">
        <is>
          <t>New household capacity (advisor hours ÷ hrs/HH)</t>
        </is>
      </c>
      <c r="C53" s="11">
        <f>C34/C25</f>
        <v/>
      </c>
    </row>
    <row r="54">
      <c r="B54" t="inlineStr">
        <is>
          <t>Capacity uplift</t>
        </is>
      </c>
      <c r="C54" s="16">
        <f>IF(C52&gt;0,C53/C52,"n/a")</f>
        <v/>
      </c>
    </row>
    <row r="55">
      <c r="B55" t="inlineStr">
        <is>
          <t>AUM headroom ($)</t>
        </is>
      </c>
      <c r="C55" s="6">
        <f>C53*C24</f>
        <v/>
      </c>
    </row>
    <row r="56">
      <c r="B56" t="inlineStr">
        <is>
          <t>Annual revenue capacity if filled ($/yr)</t>
        </is>
      </c>
      <c r="C56" s="6">
        <f>C55*(C6/10000)</f>
        <v/>
      </c>
    </row>
    <row r="58">
      <c r="B58" s="17" t="inlineStr">
        <is>
          <t>Conservative &amp; illustrative — not a guarantee. Defaults cite published benchmarks; see roi-methodology.md for every formula, source, and derivation.</t>
        </is>
      </c>
    </row>
    <row r="59"/>
    <row r="60"/>
  </sheetData>
  <mergeCells count="2">
    <mergeCell ref="E9:H11"/>
    <mergeCell ref="B58:C60"/>
  </mergeCells>
  <dataValidations count="2">
    <dataValidation sqref="C17" showDropDown="0" showInputMessage="0" showErrorMessage="0" allowBlank="0" type="list">
      <formula1>"Standard,Extended,Enterprise"</formula1>
    </dataValidation>
    <dataValidation sqref="C18" showDropDown="0" showInputMessage="0" showErrorMessage="0" allowBlank="0" type="list">
      <formula1>"Founding partner,List"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E1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6" customWidth="1" min="3" max="3"/>
    <col width="16" customWidth="1" min="4" max="4"/>
    <col width="16" customWidth="1" min="5" max="5"/>
  </cols>
  <sheetData>
    <row r="1">
      <c r="B1" s="18" t="inlineStr">
        <is>
          <t>Scenario presets — steady-state at LIST subscription</t>
        </is>
      </c>
    </row>
    <row r="2">
      <c r="B2" s="19" t="inlineStr">
        <is>
          <t>Reclaimable fraction = tier base (Calculator!C15 via rate card) ± 10pp. Growth uplift shown as upside only.</t>
        </is>
      </c>
    </row>
    <row r="4">
      <c r="B4" s="3" t="inlineStr">
        <is>
          <t>Metric</t>
        </is>
      </c>
      <c r="C4" s="3" t="inlineStr">
        <is>
          <t>Conservative</t>
        </is>
      </c>
      <c r="D4" s="3" t="inlineStr">
        <is>
          <t>Base</t>
        </is>
      </c>
      <c r="E4" s="3" t="inlineStr">
        <is>
          <t>Aggressive</t>
        </is>
      </c>
    </row>
    <row r="5">
      <c r="B5" t="inlineStr">
        <is>
          <t>Reclaimable fraction (%)</t>
        </is>
      </c>
      <c r="C5">
        <f>MAX(0,VLOOKUP(Calculator!$C$17,Calculator!$E$5:$H$7,4,FALSE)-10)</f>
        <v/>
      </c>
      <c r="D5">
        <f>VLOOKUP(Calculator!$C$17,Calculator!$E$5:$H$7,4,FALSE)</f>
        <v/>
      </c>
      <c r="E5">
        <f>MIN(100,VLOOKUP(Calculator!$C$17,Calculator!$E$5:$H$7,4,FALSE)+10)</f>
        <v/>
      </c>
    </row>
    <row r="6">
      <c r="B6" t="inlineStr">
        <is>
          <t>Growth uplift (pp) — upside lens</t>
        </is>
      </c>
      <c r="C6" t="n">
        <v>0.5</v>
      </c>
      <c r="D6" t="n">
        <v>1</v>
      </c>
      <c r="E6" t="n">
        <v>2</v>
      </c>
    </row>
    <row r="7">
      <c r="B7" t="inlineStr">
        <is>
          <t>Efficiency value ($/yr)</t>
        </is>
      </c>
      <c r="C7" s="6">
        <f>Calculator!$C$7*(Calculator!$C$13/100)*(C5/100)*Calculator!$C$9+Calculator!$C$8*(Calculator!$C$14/100)*(C5/100)*Calculator!$C$10</f>
        <v/>
      </c>
      <c r="D7" s="6">
        <f>Calculator!$C$7*(Calculator!$C$13/100)*(D5/100)*Calculator!$C$9+Calculator!$C$8*(Calculator!$C$14/100)*(D5/100)*Calculator!$C$10</f>
        <v/>
      </c>
      <c r="E7" s="6">
        <f>Calculator!$C$7*(Calculator!$C$13/100)*(E5/100)*Calculator!$C$9+Calculator!$C$8*(Calculator!$C$14/100)*(E5/100)*Calculator!$C$10</f>
        <v/>
      </c>
    </row>
    <row r="8">
      <c r="B8" t="inlineStr">
        <is>
          <t>Net of list subscription ($/yr)</t>
        </is>
      </c>
      <c r="C8" s="6">
        <f>C7-Calculator!$C$21</f>
        <v/>
      </c>
      <c r="D8" s="6">
        <f>D7-Calculator!$C$21</f>
        <v/>
      </c>
      <c r="E8" s="6">
        <f>E7-Calculator!$C$21</f>
        <v/>
      </c>
    </row>
    <row r="9">
      <c r="B9" t="inlineStr">
        <is>
          <t>Steady-state ROI</t>
        </is>
      </c>
      <c r="C9" s="16">
        <f>IF(Calculator!$C$21&gt;0,C8/Calculator!$C$21,"n/a")</f>
        <v/>
      </c>
      <c r="D9" s="16">
        <f>IF(Calculator!$C$21&gt;0,D8/Calculator!$C$21,"n/a")</f>
        <v/>
      </c>
      <c r="E9" s="16">
        <f>IF(Calculator!$C$21&gt;0,E8/Calculator!$C$21,"n/a")</f>
        <v/>
      </c>
    </row>
    <row r="10">
      <c r="B10" t="inlineStr">
        <is>
          <t>Payback (months)</t>
        </is>
      </c>
      <c r="C10" s="13">
        <f>IF(C7&gt;0,Calculator!$C$21/(C7/12),"n/a")</f>
        <v/>
      </c>
      <c r="D10" s="13">
        <f>IF(D7&gt;0,Calculator!$C$21/(D7/12),"n/a")</f>
        <v/>
      </c>
      <c r="E10" s="13">
        <f>IF(E7&gt;0,Calculator!$C$21/(E7/12),"n/a")</f>
        <v/>
      </c>
    </row>
    <row r="11">
      <c r="B11" t="inlineStr">
        <is>
          <t>Client keeps (× subscription)</t>
        </is>
      </c>
      <c r="C11" s="22">
        <f>IF(Calculator!$C$21&gt;0,C7/Calculator!$C$21,"n/a")</f>
        <v/>
      </c>
      <c r="D11" s="22">
        <f>IF(Calculator!$C$21&gt;0,D7/Calculator!$C$21,"n/a")</f>
        <v/>
      </c>
      <c r="E11" s="22">
        <f>IF(Calculator!$C$21&gt;0,E7/Calculator!$C$21,"n/a")</f>
        <v/>
      </c>
    </row>
    <row r="12">
      <c r="B12" t="inlineStr">
        <is>
          <t>Growth upside ($/yr) — NOT in ROI</t>
        </is>
      </c>
      <c r="C12" s="6">
        <f>Calculator!$C$5*(C6/100)*(Calculator!$C$6/10000)</f>
        <v/>
      </c>
      <c r="D12" s="6">
        <f>Calculator!$C$5*(D6/100)*(Calculator!$C$6/10000)</f>
        <v/>
      </c>
      <c r="E12" s="6">
        <f>Calculator!$C$5*(E6/100)*(Calculator!$C$6/10000)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B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20" customWidth="1" min="2" max="2"/>
  </cols>
  <sheetData>
    <row r="1">
      <c r="B1" s="20" t="inlineStr">
        <is>
          <t>CloudLink ROI model — sources &amp; disciplines</t>
        </is>
      </c>
    </row>
    <row r="2">
      <c r="B2" s="21" t="inlineStr"/>
    </row>
    <row r="3" ht="75" customHeight="1">
      <c r="B3" s="21" t="inlineStr">
        <is>
          <t>THE PRICE ARCHITECTURE. Two components, quoted separately: a one-time Twin-Conversion build (Standard $90K / Extended $150K / Enterprise $250K+ list) and a recurring platform subscription (base by tier + $2,400/advisor/yr; support staff &amp; AI usage included). Founding-partner (charter) terms: build 45% off list, Year-1 subscription 50% off list, stepping up to list by Year 3 when written satisfaction bars are met. First 5 firms. Charter figures are always a percentage off the stated list — never 'the price.'</t>
        </is>
      </c>
    </row>
    <row r="4">
      <c r="B4" s="21" t="inlineStr"/>
    </row>
    <row r="5" ht="60" customHeight="1">
      <c r="B5" s="21" t="inlineStr">
        <is>
          <t>ROI DISCIPLINE. The ROI counts only the efficiency value (headcount × loaded cost × admin% × reclaimable%). Growth uplift and household capacity are separate upside lenses, never summed in. Year 1 charges the one-time build, the firm's own onboarding time, and a benefit ramp (default 50%). Steady-state always uses the LIST subscription because charter rates expire by design.</t>
        </is>
      </c>
    </row>
    <row r="6">
      <c r="B6" s="21" t="inlineStr"/>
    </row>
    <row r="7" ht="105" customHeight="1">
      <c r="B7" s="21" t="inlineStr">
        <is>
          <t>KEY BASES. AUM/advisor defaults match the median in-segment SEC ADV firm ($691M / 6 advisors; 6,768-firm test-pricing analysis). Advisor cost $250K = blended comp ~$185–200K (Schwab 2025 mix) × 1.25–1.35 load. Advisor admin 35% = conservative end of the published 30–50% range (Fidelity/Kitces/SmartAsset). Support automatable-admin 45% = bottom-up from the 33-workflow catalog (inbox triage, document intake, custodial &amp; invoice reconciliation, billing runs, RMDs, ACAT chasing, scheduling, e-sign chase, meeting prep…), each demonstrated on a simulated firm. Reclaimable fraction is scope-linked: Standard 30% / Extended 35% / Enterprise 40% (±10pp scenarios). Published recoverable time runs 10–15 hrs/advisor/week; the base case reclaims ~4.8.</t>
        </is>
      </c>
    </row>
    <row r="8">
      <c r="B8" s="21" t="inlineStr"/>
    </row>
    <row r="9" ht="30" customHeight="1">
      <c r="B9" s="21" t="inlineStr">
        <is>
          <t>INVARIANCE. Dollar outputs are mathematically independent of the work-week input (hours cancel); it affects only hours/household displays. No work-week choice can inflate the ROI.</t>
        </is>
      </c>
    </row>
    <row r="10">
      <c r="B10" s="21" t="inlineStr"/>
    </row>
    <row r="11" ht="45" customHeight="1">
      <c r="B11" s="21" t="inlineStr">
        <is>
          <t>EXCLUDED (deliberately): elimination of all admin; growth/capacity revenue in the ROI; dollarized risk reduction; tool-consolidation savings (~$38K/yr median portfolio+aggregation spend, T3); retention revenue. INCLUDED that others omit: your team's onboarding time and a Year-1 ramp.</t>
        </is>
      </c>
    </row>
    <row r="12">
      <c r="B12" s="21" t="inlineStr"/>
    </row>
    <row r="13" ht="45" customHeight="1">
      <c r="B13" s="21" t="inlineStr">
        <is>
          <t>CLAIM LABELS. Modeled (this tool) / Sim-measured (live simulated firm) / Pilot-measured (your telemetry — the only rung ever presented as your results). Illustrative, not a guarantee; Marketing Rule 206(4)-1 discipline. Full methodology &amp; citations: roi-methodology.md (CloudLink). © 2026 CloudLink Capital.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2026-07-13T13:27:29Z</dcterms:created>
  <dcterms:modified xmlns:dcterms="http://purl.org/dc/terms/" xmlns:xsi="http://www.w3.org/2001/XMLSchema-instance" xsi:type="dcterms:W3CDTF">2026-07-13T13:27:29Z</dcterms:modified>
</cp:coreProperties>
</file>